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5315" windowHeight="9105" activeTab="1"/>
  </bookViews>
  <sheets>
    <sheet name="Display format" sheetId="1" r:id="rId1"/>
    <sheet name="Levy Distribution Worksheet" sheetId="2" r:id="rId2"/>
  </sheets>
  <definedNames>
    <definedName name="_xlnm.Print_Area" localSheetId="1">'Levy Distribution Worksheet'!$A$11:$K$53</definedName>
  </definedNames>
  <calcPr fullCalcOnLoad="1"/>
</workbook>
</file>

<file path=xl/sharedStrings.xml><?xml version="1.0" encoding="utf-8"?>
<sst xmlns="http://schemas.openxmlformats.org/spreadsheetml/2006/main" count="100" uniqueCount="44">
  <si>
    <t>MONTGOMERY COUNTY</t>
  </si>
  <si>
    <t>FIVE RIVER METRO PARKS</t>
  </si>
  <si>
    <t>GENERAL FUND INSIDE MILLAGE</t>
  </si>
  <si>
    <t>HUMAN SERVICES 2007</t>
  </si>
  <si>
    <t>HUMAN SERVICES 2010</t>
  </si>
  <si>
    <t>MRDD 1977</t>
  </si>
  <si>
    <t>SINCLAIR COMMUNITY COLLEGE</t>
  </si>
  <si>
    <t>SUB-TOTAL:</t>
  </si>
  <si>
    <t>HUBER HEIGHTS CSD</t>
  </si>
  <si>
    <t>BOND RETIREMENT</t>
  </si>
  <si>
    <t>CLASSROOM FACILITIES</t>
  </si>
  <si>
    <t>GENERAL FUND CURRENT EXPENSE</t>
  </si>
  <si>
    <t>PERMANENT IMPROVEMENT</t>
  </si>
  <si>
    <t>HUBER HEIGHTS CITY</t>
  </si>
  <si>
    <t>FIRE</t>
  </si>
  <si>
    <t>POLICE</t>
  </si>
  <si>
    <t>MIAMI VALLEY CTC</t>
  </si>
  <si>
    <t>DAYTON METRO LIBRARY</t>
  </si>
  <si>
    <t>BOND RETIREMENT VOTED</t>
  </si>
  <si>
    <t>Receiving Authority</t>
  </si>
  <si>
    <t>Levy</t>
  </si>
  <si>
    <t>Year Passed</t>
  </si>
  <si>
    <t>Effective rate</t>
  </si>
  <si>
    <t>Insert 35% of assessed value</t>
  </si>
  <si>
    <t>Insert 100% of assessed value</t>
  </si>
  <si>
    <t>Police and Fire SUB-TOTAL:</t>
  </si>
  <si>
    <t>HHCity School SUB-TOTAL:</t>
  </si>
  <si>
    <t>35% computed</t>
  </si>
  <si>
    <t>City takes</t>
  </si>
  <si>
    <r>
      <t xml:space="preserve">Tax </t>
    </r>
    <r>
      <rPr>
        <sz val="7"/>
        <rFont val="Arial"/>
        <family val="2"/>
      </rPr>
      <t>(35%)</t>
    </r>
  </si>
  <si>
    <r>
      <t xml:space="preserve"> Tax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(100%)</t>
    </r>
  </si>
  <si>
    <t>Library SUB-TOTAL:</t>
  </si>
  <si>
    <t>Miami Valley CTC SUB-TOTAL:</t>
  </si>
  <si>
    <t>County (Sinclair College, Parks, Human Services)</t>
  </si>
  <si>
    <t>Miami Valley CTC</t>
  </si>
  <si>
    <t xml:space="preserve">Library </t>
  </si>
  <si>
    <t>Property Tax</t>
  </si>
  <si>
    <t>Effective tax rate</t>
  </si>
  <si>
    <t>Huber Heights City Schools</t>
  </si>
  <si>
    <t>City transfers</t>
  </si>
  <si>
    <t>City Transfers</t>
  </si>
  <si>
    <t xml:space="preserve">Huber Heights City Police and Fire </t>
  </si>
  <si>
    <t xml:space="preserve">Huber Heights City GENERAL FUND </t>
  </si>
  <si>
    <t>of TIF money comes from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</si>
</sst>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42">
    <font>
      <sz val="10"/>
      <name val="Arial"/>
      <family val="0"/>
    </font>
    <font>
      <sz val="7.5"/>
      <color indexed="62"/>
      <name val="Arial"/>
      <family val="2"/>
    </font>
    <font>
      <b/>
      <sz val="7.5"/>
      <color indexed="62"/>
      <name val="Arial"/>
      <family val="2"/>
    </font>
    <font>
      <sz val="7.5"/>
      <name val="Arial"/>
      <family val="0"/>
    </font>
    <font>
      <b/>
      <sz val="7.5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b/>
      <sz val="7.5"/>
      <color indexed="20"/>
      <name val="Arial"/>
      <family val="2"/>
    </font>
    <font>
      <sz val="7.5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2"/>
      <name val="Arial"/>
      <family val="0"/>
    </font>
    <font>
      <sz val="10"/>
      <color indexed="8"/>
      <name val="Arial"/>
      <family val="0"/>
    </font>
    <font>
      <sz val="12"/>
      <color indexed="18"/>
      <name val="Arial"/>
      <family val="0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"/>
      <name val="Calibri"/>
      <family val="0"/>
    </font>
    <font>
      <sz val="18"/>
      <color indexed="8"/>
      <name val="Georgia"/>
      <family val="0"/>
    </font>
    <font>
      <sz val="11"/>
      <color indexed="8"/>
      <name val="Georgia"/>
      <family val="0"/>
    </font>
    <font>
      <sz val="10"/>
      <color indexed="8"/>
      <name val="Georgia"/>
      <family val="1"/>
    </font>
    <font>
      <sz val="7.5"/>
      <color indexed="12"/>
      <name val="Arial"/>
      <family val="0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16"/>
      </right>
      <top style="mediumDashed">
        <color indexed="16"/>
      </top>
      <bottom style="mediumDashed">
        <color indexed="16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ck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169" fontId="3" fillId="0" borderId="13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right" wrapText="1"/>
    </xf>
    <xf numFmtId="0" fontId="1" fillId="24" borderId="16" xfId="0" applyFont="1" applyFill="1" applyBorder="1" applyAlignment="1">
      <alignment horizontal="right" wrapText="1"/>
    </xf>
    <xf numFmtId="0" fontId="1" fillId="24" borderId="17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left" wrapText="1"/>
    </xf>
    <xf numFmtId="0" fontId="1" fillId="24" borderId="0" xfId="0" applyFont="1" applyFill="1" applyBorder="1" applyAlignment="1">
      <alignment horizontal="right" wrapText="1"/>
    </xf>
    <xf numFmtId="0" fontId="1" fillId="24" borderId="18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right" wrapText="1"/>
    </xf>
    <xf numFmtId="0" fontId="1" fillId="24" borderId="19" xfId="0" applyFont="1" applyFill="1" applyBorder="1" applyAlignment="1">
      <alignment horizontal="left" wrapText="1"/>
    </xf>
    <xf numFmtId="169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20" xfId="0" applyNumberFormat="1" applyBorder="1" applyAlignment="1" applyProtection="1">
      <alignment horizontal="center"/>
      <protection locked="0"/>
    </xf>
    <xf numFmtId="168" fontId="0" fillId="0" borderId="21" xfId="0" applyNumberFormat="1" applyBorder="1" applyAlignment="1" applyProtection="1">
      <alignment horizontal="center"/>
      <protection locked="0"/>
    </xf>
    <xf numFmtId="169" fontId="4" fillId="0" borderId="1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24" borderId="23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right" wrapText="1"/>
    </xf>
    <xf numFmtId="0" fontId="1" fillId="24" borderId="25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left" wrapText="1"/>
    </xf>
    <xf numFmtId="0" fontId="5" fillId="24" borderId="25" xfId="0" applyFont="1" applyFill="1" applyBorder="1" applyAlignment="1">
      <alignment horizontal="right" wrapText="1"/>
    </xf>
    <xf numFmtId="0" fontId="8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right" wrapText="1"/>
    </xf>
    <xf numFmtId="0" fontId="8" fillId="24" borderId="18" xfId="0" applyFont="1" applyFill="1" applyBorder="1" applyAlignment="1">
      <alignment horizontal="right" wrapText="1"/>
    </xf>
    <xf numFmtId="0" fontId="9" fillId="24" borderId="18" xfId="0" applyFont="1" applyFill="1" applyBorder="1" applyAlignment="1">
      <alignment horizontal="right" wrapText="1"/>
    </xf>
    <xf numFmtId="169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9" fontId="9" fillId="0" borderId="1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25" xfId="0" applyNumberFormat="1" applyFont="1" applyFill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8" fillId="24" borderId="26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right" wrapText="1"/>
    </xf>
    <xf numFmtId="0" fontId="8" fillId="24" borderId="27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center"/>
    </xf>
    <xf numFmtId="169" fontId="11" fillId="0" borderId="29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169" fontId="11" fillId="0" borderId="0" xfId="0" applyNumberFormat="1" applyFont="1" applyFill="1" applyBorder="1" applyAlignment="1">
      <alignment horizontal="center"/>
    </xf>
    <xf numFmtId="169" fontId="11" fillId="0" borderId="30" xfId="0" applyNumberFormat="1" applyFont="1" applyFill="1" applyBorder="1" applyAlignment="1">
      <alignment horizontal="center"/>
    </xf>
    <xf numFmtId="169" fontId="1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169" fontId="8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169" fontId="8" fillId="0" borderId="32" xfId="0" applyNumberFormat="1" applyFont="1" applyBorder="1" applyAlignment="1">
      <alignment horizontal="center"/>
    </xf>
    <xf numFmtId="169" fontId="3" fillId="0" borderId="32" xfId="0" applyNumberFormat="1" applyFont="1" applyBorder="1" applyAlignment="1">
      <alignment horizontal="center"/>
    </xf>
    <xf numFmtId="169" fontId="8" fillId="0" borderId="32" xfId="0" applyNumberFormat="1" applyFont="1" applyBorder="1" applyAlignment="1">
      <alignment horizontal="center"/>
    </xf>
    <xf numFmtId="169" fontId="3" fillId="0" borderId="32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right" wrapText="1"/>
    </xf>
    <xf numFmtId="0" fontId="4" fillId="0" borderId="32" xfId="0" applyNumberFormat="1" applyFont="1" applyFill="1" applyBorder="1" applyAlignment="1">
      <alignment horizontal="right" wrapText="1"/>
    </xf>
    <xf numFmtId="169" fontId="4" fillId="0" borderId="3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9" fontId="35" fillId="0" borderId="32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169" fontId="4" fillId="0" borderId="32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169" fontId="4" fillId="0" borderId="32" xfId="0" applyNumberFormat="1" applyFont="1" applyBorder="1" applyAlignment="1">
      <alignment horizontal="center"/>
    </xf>
    <xf numFmtId="169" fontId="4" fillId="7" borderId="32" xfId="0" applyNumberFormat="1" applyFont="1" applyFill="1" applyBorder="1" applyAlignment="1">
      <alignment horizontal="right"/>
    </xf>
    <xf numFmtId="169" fontId="4" fillId="7" borderId="32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69" fontId="40" fillId="0" borderId="0" xfId="0" applyNumberFormat="1" applyFont="1" applyBorder="1" applyAlignment="1">
      <alignment horizontal="left"/>
    </xf>
    <xf numFmtId="169" fontId="40" fillId="24" borderId="0" xfId="0" applyNumberFormat="1" applyFont="1" applyFill="1" applyBorder="1" applyAlignment="1">
      <alignment horizontal="left" wrapText="1"/>
    </xf>
    <xf numFmtId="4" fontId="40" fillId="24" borderId="0" xfId="0" applyNumberFormat="1" applyFont="1" applyFill="1" applyBorder="1" applyAlignment="1">
      <alignment horizontal="left" wrapText="1"/>
    </xf>
    <xf numFmtId="4" fontId="41" fillId="24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47625</xdr:rowOff>
    </xdr:from>
    <xdr:to>
      <xdr:col>7</xdr:col>
      <xdr:colOff>704850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09600" y="1828800"/>
          <a:ext cx="622935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8</xdr:col>
      <xdr:colOff>9525</xdr:colOff>
      <xdr:row>18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28650" y="2600325"/>
          <a:ext cx="622935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8</xdr:col>
      <xdr:colOff>9525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171450"/>
          <a:ext cx="6229350" cy="9620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1333500</xdr:colOff>
      <xdr:row>6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28650" y="86677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Receiving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agency</a:t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971550</xdr:colOff>
      <xdr:row>6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457575" y="742950"/>
          <a:ext cx="962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Normal Tax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</a:t>
          </a:r>
        </a:p>
      </xdr:txBody>
    </xdr:sp>
    <xdr:clientData/>
  </xdr:twoCellAnchor>
  <xdr:twoCellAnchor>
    <xdr:from>
      <xdr:col>5</xdr:col>
      <xdr:colOff>9525</xdr:colOff>
      <xdr:row>5</xdr:row>
      <xdr:rowOff>38100</xdr:rowOff>
    </xdr:from>
    <xdr:to>
      <xdr:col>8</xdr:col>
      <xdr:colOff>0</xdr:colOff>
      <xdr:row>7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629150" y="847725"/>
          <a:ext cx="2219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 TIF adjustment</a:t>
          </a:r>
        </a:p>
      </xdr:txBody>
    </xdr:sp>
    <xdr:clientData/>
  </xdr:twoCellAnchor>
  <xdr:twoCellAnchor>
    <xdr:from>
      <xdr:col>4</xdr:col>
      <xdr:colOff>9525</xdr:colOff>
      <xdr:row>6</xdr:row>
      <xdr:rowOff>152400</xdr:rowOff>
    </xdr:from>
    <xdr:to>
      <xdr:col>4</xdr:col>
      <xdr:colOff>161925</xdr:colOff>
      <xdr:row>11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448175" y="1123950"/>
          <a:ext cx="152400" cy="657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152400</xdr:rowOff>
    </xdr:from>
    <xdr:to>
      <xdr:col>4</xdr:col>
      <xdr:colOff>161925</xdr:colOff>
      <xdr:row>15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4457700" y="2257425"/>
          <a:ext cx="142875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8</xdr:col>
      <xdr:colOff>0</xdr:colOff>
      <xdr:row>4</xdr:row>
      <xdr:rowOff>47625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19125" y="180975"/>
          <a:ext cx="6229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Alcore Assisted Living Facility -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after re-read of ORC5709.40 Section F</a:t>
          </a:r>
          <a:r>
            <a:rPr lang="en-US" cap="none" sz="18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Analysis of the tax effects on various government agencies because the city created TIF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28575</xdr:rowOff>
    </xdr:from>
    <xdr:to>
      <xdr:col>4</xdr:col>
      <xdr:colOff>647700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81225" y="28575"/>
          <a:ext cx="401955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Montgomery County Tax Levy Distribution - 2013</a:t>
          </a:r>
        </a:p>
      </xdr:txBody>
    </xdr:sp>
    <xdr:clientData/>
  </xdr:twoCellAnchor>
  <xdr:twoCellAnchor>
    <xdr:from>
      <xdr:col>0</xdr:col>
      <xdr:colOff>38100</xdr:colOff>
      <xdr:row>1</xdr:row>
      <xdr:rowOff>85725</xdr:rowOff>
    </xdr:from>
    <xdr:to>
      <xdr:col>10</xdr:col>
      <xdr:colOff>819150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47650"/>
          <a:ext cx="9591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 son created this worksheet using the tax levy distribution found on the Montgomery County Auditors page.  I asked him to design this tool so I could look at the affect the TIF has on the schools, fire &amp; police funds.  Unfortunately, the Miami County Auditor page does not provide this distribution.  I would have liked to create a similar wksheet for the North end of the city.   This is for 2013 different years have different Effective (tax) rates. </a:t>
          </a:r>
        </a:p>
      </xdr:txBody>
    </xdr:sp>
    <xdr:clientData/>
  </xdr:twoCellAnchor>
  <xdr:twoCellAnchor>
    <xdr:from>
      <xdr:col>7</xdr:col>
      <xdr:colOff>76200</xdr:colOff>
      <xdr:row>8</xdr:row>
      <xdr:rowOff>47625</xdr:rowOff>
    </xdr:from>
    <xdr:to>
      <xdr:col>11</xdr:col>
      <xdr:colOff>0</xdr:colOff>
      <xdr:row>9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81875" y="1409700"/>
          <a:ext cx="2286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With TIF implemented</a:t>
          </a:r>
        </a:p>
      </xdr:txBody>
    </xdr:sp>
    <xdr:clientData/>
  </xdr:twoCellAnchor>
  <xdr:twoCellAnchor>
    <xdr:from>
      <xdr:col>2</xdr:col>
      <xdr:colOff>95250</xdr:colOff>
      <xdr:row>4</xdr:row>
      <xdr:rowOff>152400</xdr:rowOff>
    </xdr:from>
    <xdr:to>
      <xdr:col>10</xdr:col>
      <xdr:colOff>838200</xdr:colOff>
      <xdr:row>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33800" y="800100"/>
          <a:ext cx="59150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Tax value to the left.  Use the value found on the auditors page.  For new construction use an educated guess.  File opens using $14.1 million.  $14.1 is used based on the comments by the Asst City manager at the Oct 14, 2013 council meeting that the schools tax revenue is reduced to $76,000/yr.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3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42.57421875" style="0" customWidth="1"/>
    <col min="3" max="3" width="18.140625" style="0" hidden="1" customWidth="1"/>
    <col min="4" max="4" width="14.8515625" style="0" customWidth="1"/>
    <col min="5" max="5" width="2.7109375" style="0" customWidth="1"/>
    <col min="6" max="6" width="11.7109375" style="0" customWidth="1"/>
    <col min="7" max="7" width="11.00390625" style="0" customWidth="1"/>
    <col min="8" max="8" width="10.7109375" style="0" customWidth="1"/>
    <col min="13" max="13" width="16.00390625" style="0" hidden="1" customWidth="1"/>
    <col min="14" max="14" width="4.421875" style="0" hidden="1" customWidth="1"/>
    <col min="15" max="15" width="14.421875" style="0" hidden="1" customWidth="1"/>
  </cols>
  <sheetData>
    <row r="7" spans="2:4" ht="12.75">
      <c r="B7" s="56" t="s">
        <v>20</v>
      </c>
      <c r="C7" s="57" t="s">
        <v>37</v>
      </c>
      <c r="D7" s="58" t="s">
        <v>36</v>
      </c>
    </row>
    <row r="8" spans="2:8" ht="12.75">
      <c r="B8" s="72" t="s">
        <v>33</v>
      </c>
      <c r="C8" s="73">
        <f>'Levy Distribution Worksheet'!D17</f>
        <v>20.436040000000002</v>
      </c>
      <c r="D8" s="74">
        <f>IF(M18&gt;O18,M18,O18)</f>
        <v>100851.85740000001</v>
      </c>
      <c r="E8" s="55"/>
      <c r="F8" s="74">
        <f>'Levy Distribution Worksheet'!I17</f>
        <v>74222.4</v>
      </c>
      <c r="G8" s="74" t="s">
        <v>28</v>
      </c>
      <c r="H8" s="74">
        <f>'Levy Distribution Worksheet'!K17</f>
        <v>26629.457400000014</v>
      </c>
    </row>
    <row r="9" spans="2:8" ht="12.75">
      <c r="B9" s="75" t="s">
        <v>38</v>
      </c>
      <c r="C9" s="73">
        <f>'Levy Distribution Worksheet'!D29</f>
        <v>51.384927999999995</v>
      </c>
      <c r="D9" s="76">
        <f>IF(M19&gt;O19,M19,O19)</f>
        <v>253584.61967999997</v>
      </c>
      <c r="E9" s="55"/>
      <c r="F9" s="76">
        <f>IF(M19&lt;O19,O19*0.3,M19*0.3)</f>
        <v>76075.385904</v>
      </c>
      <c r="G9" s="76" t="s">
        <v>28</v>
      </c>
      <c r="H9" s="76">
        <f>IF(M19&gt;O19,M19*0.7,O19*0.7)</f>
        <v>177509.23377599998</v>
      </c>
    </row>
    <row r="10" spans="2:8" ht="12.75">
      <c r="B10" s="72" t="s">
        <v>34</v>
      </c>
      <c r="C10" s="73">
        <f>'Levy Distribution Worksheet'!D47</f>
        <v>2.517462</v>
      </c>
      <c r="D10" s="74">
        <f>IF(M22&gt;O22,M22,O22)</f>
        <v>12423.67497</v>
      </c>
      <c r="E10" s="55"/>
      <c r="F10" s="74">
        <f>'Levy Distribution Worksheet'!I47</f>
        <v>3727.1024909999996</v>
      </c>
      <c r="G10" s="74" t="s">
        <v>28</v>
      </c>
      <c r="H10" s="74">
        <f>'Levy Distribution Worksheet'!K47</f>
        <v>8696.572478999999</v>
      </c>
    </row>
    <row r="11" spans="2:8" ht="12.75">
      <c r="B11" s="72" t="s">
        <v>35</v>
      </c>
      <c r="C11" s="73">
        <f>'Levy Distribution Worksheet'!D51</f>
        <v>3.31</v>
      </c>
      <c r="D11" s="74">
        <f>IF(M23&gt;O23,M23,O23)</f>
        <v>16334.85</v>
      </c>
      <c r="E11" s="55"/>
      <c r="F11" s="74">
        <f>'Levy Distribution Worksheet'!I51</f>
        <v>16334.85</v>
      </c>
      <c r="G11" s="74" t="s">
        <v>28</v>
      </c>
      <c r="H11" s="74">
        <f>'Levy Distribution Worksheet'!K51</f>
        <v>0</v>
      </c>
    </row>
    <row r="12" spans="2:8" ht="12.75">
      <c r="B12" s="59"/>
      <c r="C12" s="61"/>
      <c r="D12" s="60"/>
      <c r="F12" s="60"/>
      <c r="G12" s="60"/>
      <c r="H12" s="60"/>
    </row>
    <row r="13" spans="2:8" ht="12.75">
      <c r="B13" s="59"/>
      <c r="C13" s="61"/>
      <c r="D13" s="60"/>
      <c r="F13" s="60"/>
      <c r="G13" s="60"/>
      <c r="H13" s="60"/>
    </row>
    <row r="14" spans="2:8" ht="12.75">
      <c r="B14" s="59"/>
      <c r="C14" s="61"/>
      <c r="D14" s="60"/>
      <c r="F14" s="60"/>
      <c r="G14" s="60"/>
      <c r="H14" s="60"/>
    </row>
    <row r="15" spans="2:8" ht="12.75">
      <c r="B15" s="66" t="s">
        <v>41</v>
      </c>
      <c r="C15" s="67">
        <f>'Levy Distribution Worksheet'!D42</f>
        <v>3.692144</v>
      </c>
      <c r="D15" s="68">
        <f>IF(M20&gt;O20,M20,O20)</f>
        <v>18220.73064</v>
      </c>
      <c r="E15" s="69"/>
      <c r="F15" s="70">
        <f>'Levy Distribution Worksheet'!I42</f>
        <v>0</v>
      </c>
      <c r="G15" s="71" t="s">
        <v>39</v>
      </c>
      <c r="H15" s="70">
        <f>'Levy Distribution Worksheet'!K42</f>
        <v>18220.73064</v>
      </c>
    </row>
    <row r="16" spans="2:8" ht="12.75">
      <c r="B16" s="66" t="s">
        <v>42</v>
      </c>
      <c r="C16" s="67">
        <v>1.5</v>
      </c>
      <c r="D16" s="68">
        <f>IF(M21&gt;O21,M21,O21)</f>
        <v>7402.5</v>
      </c>
      <c r="E16" s="69"/>
      <c r="F16" s="70">
        <f>IF(M21&gt;O21,M21*0,O21*0)</f>
        <v>0</v>
      </c>
      <c r="G16" s="71" t="s">
        <v>40</v>
      </c>
      <c r="H16" s="70">
        <f>IF(M21&gt;O21,M21*1,O21*1)</f>
        <v>7402.5</v>
      </c>
    </row>
    <row r="17" spans="9:15" ht="12.75">
      <c r="I17" s="77">
        <f>SUM(H8:H16)</f>
        <v>238458.49429499998</v>
      </c>
      <c r="M17" s="1" t="s">
        <v>30</v>
      </c>
      <c r="N17" s="8"/>
      <c r="O17" s="5" t="s">
        <v>29</v>
      </c>
    </row>
    <row r="18" spans="13:15" ht="12.75">
      <c r="M18" s="62">
        <f>'Levy Distribution Worksheet'!E17</f>
        <v>100851.85740000001</v>
      </c>
      <c r="N18" s="39"/>
      <c r="O18" s="64">
        <f>'Levy Distribution Worksheet'!G17</f>
        <v>100851.85740000001</v>
      </c>
    </row>
    <row r="19" spans="13:15" ht="12.75">
      <c r="M19" s="62">
        <f>'Levy Distribution Worksheet'!E29</f>
        <v>253584.61967999997</v>
      </c>
      <c r="N19" s="39"/>
      <c r="O19" s="64">
        <f>'Levy Distribution Worksheet'!G29</f>
        <v>253584.61967999997</v>
      </c>
    </row>
    <row r="20" spans="13:15" ht="15.75" customHeight="1">
      <c r="M20" s="63">
        <f>'Levy Distribution Worksheet'!E42</f>
        <v>18220.73064</v>
      </c>
      <c r="N20" s="54"/>
      <c r="O20" s="65">
        <f>'Levy Distribution Worksheet'!G42</f>
        <v>18220.73064</v>
      </c>
    </row>
    <row r="21" spans="13:15" ht="12.75">
      <c r="M21" s="63">
        <f>'Levy Distribution Worksheet'!E37</f>
        <v>7402.5</v>
      </c>
      <c r="N21" s="54"/>
      <c r="O21" s="65">
        <f>'Levy Distribution Worksheet'!G37</f>
        <v>7402.5</v>
      </c>
    </row>
    <row r="22" spans="13:15" ht="12.75">
      <c r="M22" s="62">
        <f>'Levy Distribution Worksheet'!E47</f>
        <v>12423.67497</v>
      </c>
      <c r="N22" s="39"/>
      <c r="O22" s="64">
        <f>'Levy Distribution Worksheet'!G47</f>
        <v>12423.67497</v>
      </c>
    </row>
    <row r="23" spans="13:15" ht="12.75">
      <c r="M23" s="62">
        <f>'Levy Distribution Worksheet'!E51</f>
        <v>16334.85</v>
      </c>
      <c r="N23" s="39"/>
      <c r="O23" s="64">
        <f>'Levy Distribution Worksheet'!G51</f>
        <v>16334.85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B34">
      <selection activeCell="J21" sqref="J21"/>
    </sheetView>
  </sheetViews>
  <sheetFormatPr defaultColWidth="9.140625" defaultRowHeight="12.75"/>
  <cols>
    <col min="1" max="1" width="27.00390625" style="0" customWidth="1"/>
    <col min="2" max="2" width="27.57421875" style="0" customWidth="1"/>
    <col min="3" max="3" width="12.7109375" style="0" customWidth="1"/>
    <col min="4" max="4" width="16.00390625" style="0" customWidth="1"/>
    <col min="5" max="5" width="12.28125" style="1" customWidth="1"/>
    <col min="6" max="6" width="1.421875" style="0" customWidth="1"/>
    <col min="7" max="7" width="12.57421875" style="4" customWidth="1"/>
    <col min="8" max="8" width="1.57421875" style="0" customWidth="1"/>
    <col min="9" max="9" width="10.8515625" style="1" customWidth="1"/>
    <col min="10" max="10" width="10.140625" style="1" customWidth="1"/>
    <col min="11" max="11" width="12.8515625" style="1" customWidth="1"/>
    <col min="13" max="13" width="19.8515625" style="0" customWidth="1"/>
  </cols>
  <sheetData>
    <row r="1" spans="1:11" ht="12.75">
      <c r="A1" s="15"/>
      <c r="B1" s="19"/>
      <c r="C1" s="16"/>
      <c r="D1" s="19"/>
      <c r="E1" s="15"/>
      <c r="F1" s="19"/>
      <c r="G1" s="15"/>
      <c r="H1" s="19"/>
      <c r="I1" s="16"/>
      <c r="J1" s="19"/>
      <c r="K1" s="17"/>
    </row>
    <row r="2" spans="1:11" ht="12.75">
      <c r="A2" s="15"/>
      <c r="B2" s="19"/>
      <c r="C2" s="16"/>
      <c r="D2" s="19"/>
      <c r="E2" s="15"/>
      <c r="F2" s="19"/>
      <c r="G2" s="15"/>
      <c r="H2" s="19"/>
      <c r="I2" s="16"/>
      <c r="J2" s="19"/>
      <c r="K2" s="17"/>
    </row>
    <row r="3" ht="12.75">
      <c r="B3" s="1"/>
    </row>
    <row r="4" ht="12.75">
      <c r="B4" s="1"/>
    </row>
    <row r="5" spans="2:11" ht="13.5" thickBot="1">
      <c r="B5" s="1"/>
      <c r="C5" s="15"/>
      <c r="D5" s="19"/>
      <c r="E5" s="16"/>
      <c r="F5" s="19"/>
      <c r="G5" s="17"/>
      <c r="H5" s="19"/>
      <c r="I5" s="17"/>
      <c r="J5" s="19"/>
      <c r="K5" s="17"/>
    </row>
    <row r="6" spans="1:11" ht="14.25" thickBot="1" thickTop="1">
      <c r="A6" s="3" t="s">
        <v>24</v>
      </c>
      <c r="B6" s="25">
        <v>14100000</v>
      </c>
      <c r="C6" s="15"/>
      <c r="D6" s="19"/>
      <c r="E6" s="16"/>
      <c r="F6" s="19"/>
      <c r="G6" s="17"/>
      <c r="H6" s="19"/>
      <c r="I6" s="17"/>
      <c r="J6" s="19"/>
      <c r="K6" s="17"/>
    </row>
    <row r="7" spans="1:11" ht="14.25" thickBot="1" thickTop="1">
      <c r="A7" s="23" t="s">
        <v>27</v>
      </c>
      <c r="B7" s="24">
        <f>B6*0.35</f>
        <v>4935000</v>
      </c>
      <c r="C7" s="15"/>
      <c r="D7" s="19"/>
      <c r="E7" s="16"/>
      <c r="F7" s="19"/>
      <c r="G7" s="17"/>
      <c r="H7" s="19"/>
      <c r="I7" s="17"/>
      <c r="J7" s="19"/>
      <c r="K7" s="17"/>
    </row>
    <row r="8" spans="1:11" ht="14.25" thickBot="1" thickTop="1">
      <c r="A8" s="7" t="s">
        <v>23</v>
      </c>
      <c r="B8" s="26">
        <v>4935000</v>
      </c>
      <c r="C8" s="15"/>
      <c r="D8" s="19"/>
      <c r="E8" s="16"/>
      <c r="F8" s="19"/>
      <c r="G8" s="17"/>
      <c r="H8" s="19"/>
      <c r="I8" s="17"/>
      <c r="J8" s="19"/>
      <c r="K8" s="17"/>
    </row>
    <row r="9" spans="1:9" ht="13.5" thickTop="1">
      <c r="A9" s="15"/>
      <c r="B9" s="19"/>
      <c r="C9" s="16"/>
      <c r="D9" s="19"/>
      <c r="E9" s="17"/>
      <c r="F9" s="19"/>
      <c r="G9" s="17"/>
      <c r="H9" s="19"/>
      <c r="I9" s="17"/>
    </row>
    <row r="10" spans="1:9" ht="13.5" thickBot="1">
      <c r="A10" s="8" t="s">
        <v>19</v>
      </c>
      <c r="B10" s="1" t="s">
        <v>20</v>
      </c>
      <c r="C10" s="2" t="s">
        <v>21</v>
      </c>
      <c r="D10" s="2" t="s">
        <v>22</v>
      </c>
      <c r="E10" s="1" t="s">
        <v>30</v>
      </c>
      <c r="F10" s="8"/>
      <c r="G10" s="5" t="s">
        <v>29</v>
      </c>
      <c r="I10" s="28"/>
    </row>
    <row r="11" spans="1:11" ht="13.5" thickTop="1">
      <c r="A11" s="11" t="s">
        <v>0</v>
      </c>
      <c r="B11" s="12" t="s">
        <v>1</v>
      </c>
      <c r="C11" s="13">
        <v>2009</v>
      </c>
      <c r="D11" s="14">
        <v>1.8</v>
      </c>
      <c r="E11" s="9">
        <f>($B$6)*0.35*D11/1000</f>
        <v>8883</v>
      </c>
      <c r="F11" s="8"/>
      <c r="G11" s="6">
        <f aca="true" t="shared" si="0" ref="G11:G17">$B$8*D11/1000</f>
        <v>8883</v>
      </c>
      <c r="H11" s="19"/>
      <c r="I11" s="79">
        <v>8883</v>
      </c>
      <c r="J11" s="29"/>
      <c r="K11" s="30"/>
    </row>
    <row r="12" spans="1:11" ht="12.75">
      <c r="A12" s="15" t="s">
        <v>0</v>
      </c>
      <c r="B12" s="16" t="s">
        <v>2</v>
      </c>
      <c r="C12" s="17"/>
      <c r="D12" s="18">
        <v>1.7</v>
      </c>
      <c r="E12" s="9">
        <f aca="true" t="shared" si="1" ref="E12:E51">($B$6)*0.35*D12/1000</f>
        <v>8389.5</v>
      </c>
      <c r="F12" s="8"/>
      <c r="G12" s="6">
        <f t="shared" si="0"/>
        <v>8389.5</v>
      </c>
      <c r="H12" s="19"/>
      <c r="I12" s="80"/>
      <c r="J12" s="19"/>
      <c r="K12" s="31"/>
    </row>
    <row r="13" spans="1:11" ht="12.75">
      <c r="A13" s="15" t="s">
        <v>0</v>
      </c>
      <c r="B13" s="16" t="s">
        <v>3</v>
      </c>
      <c r="C13" s="17">
        <v>2007</v>
      </c>
      <c r="D13" s="18">
        <v>7.21</v>
      </c>
      <c r="E13" s="9">
        <f t="shared" si="1"/>
        <v>35581.35</v>
      </c>
      <c r="F13" s="8"/>
      <c r="G13" s="6">
        <f t="shared" si="0"/>
        <v>35581.35</v>
      </c>
      <c r="H13" s="19"/>
      <c r="I13" s="80">
        <v>35581.35</v>
      </c>
      <c r="J13" s="19"/>
      <c r="K13" s="31"/>
    </row>
    <row r="14" spans="1:11" ht="12.75">
      <c r="A14" s="15" t="s">
        <v>0</v>
      </c>
      <c r="B14" s="16" t="s">
        <v>4</v>
      </c>
      <c r="C14" s="17">
        <v>2010</v>
      </c>
      <c r="D14" s="18">
        <v>6.03</v>
      </c>
      <c r="E14" s="9">
        <f t="shared" si="1"/>
        <v>29758.05</v>
      </c>
      <c r="F14" s="8"/>
      <c r="G14" s="6">
        <f t="shared" si="0"/>
        <v>29758.05</v>
      </c>
      <c r="H14" s="19"/>
      <c r="I14" s="80">
        <v>29758.05</v>
      </c>
      <c r="J14" s="19"/>
      <c r="K14" s="31"/>
    </row>
    <row r="15" spans="1:11" ht="12.75">
      <c r="A15" s="15" t="s">
        <v>0</v>
      </c>
      <c r="B15" s="16" t="s">
        <v>5</v>
      </c>
      <c r="C15" s="17">
        <v>1977</v>
      </c>
      <c r="D15" s="18">
        <v>0.49604</v>
      </c>
      <c r="E15" s="9">
        <f t="shared" si="1"/>
        <v>2447.9574</v>
      </c>
      <c r="F15" s="8"/>
      <c r="G15" s="6">
        <f t="shared" si="0"/>
        <v>2447.9574</v>
      </c>
      <c r="H15" s="19"/>
      <c r="I15" s="81"/>
      <c r="J15" s="19"/>
      <c r="K15" s="31"/>
    </row>
    <row r="16" spans="1:11" ht="12.75">
      <c r="A16" s="15" t="s">
        <v>0</v>
      </c>
      <c r="B16" s="16" t="s">
        <v>6</v>
      </c>
      <c r="C16" s="17">
        <v>2008</v>
      </c>
      <c r="D16" s="18">
        <v>3.2</v>
      </c>
      <c r="E16" s="9">
        <f t="shared" si="1"/>
        <v>15792</v>
      </c>
      <c r="F16" s="8"/>
      <c r="G16" s="6">
        <f t="shared" si="0"/>
        <v>15792</v>
      </c>
      <c r="H16" s="19"/>
      <c r="I16" s="82"/>
      <c r="J16" s="32"/>
      <c r="K16" s="33"/>
    </row>
    <row r="17" spans="1:11" ht="12.75">
      <c r="A17" s="15"/>
      <c r="B17" s="34" t="s">
        <v>7</v>
      </c>
      <c r="C17" s="35"/>
      <c r="D17" s="36">
        <f>SUM(D11:D16)</f>
        <v>20.436040000000002</v>
      </c>
      <c r="E17" s="43">
        <f t="shared" si="1"/>
        <v>100851.85740000001</v>
      </c>
      <c r="F17" s="39"/>
      <c r="G17" s="44">
        <f t="shared" si="0"/>
        <v>100851.85740000001</v>
      </c>
      <c r="H17" s="19"/>
      <c r="I17" s="51">
        <f>SUM(I11:I14)</f>
        <v>74222.4</v>
      </c>
      <c r="J17" s="41" t="s">
        <v>28</v>
      </c>
      <c r="K17" s="42">
        <f>IF(E17&gt;G17,E17*1,G17*1)-I17</f>
        <v>26629.457400000014</v>
      </c>
    </row>
    <row r="18" spans="1:11" ht="12.75">
      <c r="A18" s="15"/>
      <c r="B18" s="19"/>
      <c r="C18" s="17"/>
      <c r="D18" s="19"/>
      <c r="E18" s="19"/>
      <c r="F18" s="17"/>
      <c r="G18" s="19"/>
      <c r="H18" s="19"/>
      <c r="I18" s="50"/>
      <c r="J18" s="32"/>
      <c r="K18" s="33"/>
    </row>
    <row r="19" spans="1:11" ht="12.75">
      <c r="A19" s="15" t="s">
        <v>8</v>
      </c>
      <c r="B19" s="16" t="s">
        <v>9</v>
      </c>
      <c r="C19" s="17">
        <v>2008</v>
      </c>
      <c r="D19" s="18">
        <v>6.99</v>
      </c>
      <c r="E19" s="9">
        <f t="shared" si="1"/>
        <v>34495.65</v>
      </c>
      <c r="F19" s="8"/>
      <c r="G19" s="6">
        <f aca="true" t="shared" si="2" ref="G19:G29">$B$8*D19/1000</f>
        <v>34495.65</v>
      </c>
      <c r="H19" s="19"/>
      <c r="I19" s="50"/>
      <c r="J19" s="32"/>
      <c r="K19" s="33"/>
    </row>
    <row r="20" spans="1:11" ht="12.75">
      <c r="A20" s="15" t="s">
        <v>8</v>
      </c>
      <c r="B20" s="16" t="s">
        <v>10</v>
      </c>
      <c r="C20" s="17">
        <v>2008</v>
      </c>
      <c r="D20" s="18">
        <v>0.5</v>
      </c>
      <c r="E20" s="9">
        <f t="shared" si="1"/>
        <v>2467.5</v>
      </c>
      <c r="F20" s="8"/>
      <c r="G20" s="6">
        <f t="shared" si="2"/>
        <v>2467.5</v>
      </c>
      <c r="H20" s="19"/>
      <c r="I20" s="50"/>
      <c r="J20" s="32"/>
      <c r="K20" s="33"/>
    </row>
    <row r="21" spans="1:11" ht="12.75">
      <c r="A21" s="15" t="s">
        <v>8</v>
      </c>
      <c r="B21" s="16" t="s">
        <v>11</v>
      </c>
      <c r="C21" s="17">
        <v>1976</v>
      </c>
      <c r="D21" s="18">
        <v>5.796353</v>
      </c>
      <c r="E21" s="9">
        <f t="shared" si="1"/>
        <v>28605.002055</v>
      </c>
      <c r="F21" s="8"/>
      <c r="G21" s="6">
        <f t="shared" si="2"/>
        <v>28605.002055</v>
      </c>
      <c r="H21" s="19"/>
      <c r="I21" s="50"/>
      <c r="J21" s="32"/>
      <c r="K21" s="33"/>
    </row>
    <row r="22" spans="1:11" ht="12.75">
      <c r="A22" s="15" t="s">
        <v>8</v>
      </c>
      <c r="B22" s="16" t="s">
        <v>11</v>
      </c>
      <c r="C22" s="17">
        <v>1999</v>
      </c>
      <c r="D22" s="18">
        <v>4.922184</v>
      </c>
      <c r="E22" s="9">
        <f t="shared" si="1"/>
        <v>24290.978039999998</v>
      </c>
      <c r="F22" s="8"/>
      <c r="G22" s="6">
        <f t="shared" si="2"/>
        <v>24290.978039999998</v>
      </c>
      <c r="H22" s="19"/>
      <c r="I22" s="50"/>
      <c r="J22" s="32"/>
      <c r="K22" s="33"/>
    </row>
    <row r="23" spans="1:11" ht="12.75">
      <c r="A23" s="15" t="s">
        <v>8</v>
      </c>
      <c r="B23" s="16" t="s">
        <v>11</v>
      </c>
      <c r="C23" s="17">
        <v>2001</v>
      </c>
      <c r="D23" s="18">
        <v>8.012224</v>
      </c>
      <c r="E23" s="9">
        <f t="shared" si="1"/>
        <v>39540.32544</v>
      </c>
      <c r="F23" s="8"/>
      <c r="G23" s="6">
        <f t="shared" si="2"/>
        <v>39540.32544</v>
      </c>
      <c r="H23" s="19"/>
      <c r="I23" s="50"/>
      <c r="J23" s="32"/>
      <c r="K23" s="33"/>
    </row>
    <row r="24" spans="1:11" ht="12.75">
      <c r="A24" s="15" t="s">
        <v>8</v>
      </c>
      <c r="B24" s="16" t="s">
        <v>11</v>
      </c>
      <c r="C24" s="17">
        <v>2002</v>
      </c>
      <c r="D24" s="18">
        <v>5.012746</v>
      </c>
      <c r="E24" s="9">
        <f t="shared" si="1"/>
        <v>24737.90151</v>
      </c>
      <c r="F24" s="8"/>
      <c r="G24" s="6">
        <f t="shared" si="2"/>
        <v>24737.90151</v>
      </c>
      <c r="H24" s="19"/>
      <c r="I24" s="50"/>
      <c r="J24" s="32"/>
      <c r="K24" s="33"/>
    </row>
    <row r="25" spans="1:11" ht="12.75">
      <c r="A25" s="15" t="s">
        <v>8</v>
      </c>
      <c r="B25" s="16" t="s">
        <v>11</v>
      </c>
      <c r="C25" s="17">
        <v>2003</v>
      </c>
      <c r="D25" s="18">
        <v>5.902888</v>
      </c>
      <c r="E25" s="9">
        <f t="shared" si="1"/>
        <v>29130.75228</v>
      </c>
      <c r="F25" s="8"/>
      <c r="G25" s="6">
        <f t="shared" si="2"/>
        <v>29130.75228</v>
      </c>
      <c r="H25" s="19"/>
      <c r="I25" s="50"/>
      <c r="J25" s="32"/>
      <c r="K25" s="33"/>
    </row>
    <row r="26" spans="1:11" ht="12.75">
      <c r="A26" s="15" t="s">
        <v>8</v>
      </c>
      <c r="B26" s="16" t="s">
        <v>11</v>
      </c>
      <c r="C26" s="17">
        <v>2005</v>
      </c>
      <c r="D26" s="18">
        <v>6.448533</v>
      </c>
      <c r="E26" s="9">
        <f t="shared" si="1"/>
        <v>31823.510355000002</v>
      </c>
      <c r="F26" s="8"/>
      <c r="G26" s="6">
        <f t="shared" si="2"/>
        <v>31823.510355000002</v>
      </c>
      <c r="H26" s="19"/>
      <c r="I26" s="50"/>
      <c r="J26" s="32"/>
      <c r="K26" s="33"/>
    </row>
    <row r="27" spans="1:11" ht="12.75">
      <c r="A27" s="15" t="s">
        <v>8</v>
      </c>
      <c r="B27" s="16" t="s">
        <v>2</v>
      </c>
      <c r="C27" s="17"/>
      <c r="D27" s="18">
        <v>6.8</v>
      </c>
      <c r="E27" s="9">
        <f t="shared" si="1"/>
        <v>33558</v>
      </c>
      <c r="F27" s="8"/>
      <c r="G27" s="6">
        <f t="shared" si="2"/>
        <v>33558</v>
      </c>
      <c r="H27" s="19"/>
      <c r="I27" s="50"/>
      <c r="J27" s="32"/>
      <c r="K27" s="33"/>
    </row>
    <row r="28" spans="1:11" ht="12.75">
      <c r="A28" s="15" t="s">
        <v>8</v>
      </c>
      <c r="B28" s="16" t="s">
        <v>12</v>
      </c>
      <c r="C28" s="17">
        <v>2007</v>
      </c>
      <c r="D28" s="18">
        <v>1</v>
      </c>
      <c r="E28" s="9">
        <f t="shared" si="1"/>
        <v>4935</v>
      </c>
      <c r="F28" s="8"/>
      <c r="G28" s="6">
        <f t="shared" si="2"/>
        <v>4935</v>
      </c>
      <c r="H28" s="19"/>
      <c r="I28" s="50"/>
      <c r="J28" s="32"/>
      <c r="K28" s="33"/>
    </row>
    <row r="29" spans="1:11" ht="12.75">
      <c r="A29" s="15"/>
      <c r="B29" s="34" t="s">
        <v>26</v>
      </c>
      <c r="C29" s="35"/>
      <c r="D29" s="36">
        <f>SUM(D19:D28)</f>
        <v>51.384927999999995</v>
      </c>
      <c r="E29" s="43">
        <f t="shared" si="1"/>
        <v>253584.61967999997</v>
      </c>
      <c r="F29" s="39"/>
      <c r="G29" s="44">
        <f t="shared" si="2"/>
        <v>253584.61967999997</v>
      </c>
      <c r="H29" s="19"/>
      <c r="I29" s="52">
        <f>IF(E29&lt;G29,G29*0.3,E29*0.3)</f>
        <v>76075.385904</v>
      </c>
      <c r="J29" s="41" t="s">
        <v>28</v>
      </c>
      <c r="K29" s="42">
        <f>IF(E29&gt;G29,E29*0.7,G29*0.7)</f>
        <v>177509.23377599998</v>
      </c>
    </row>
    <row r="30" spans="1:11" ht="12.75">
      <c r="A30" s="15"/>
      <c r="B30" s="19"/>
      <c r="C30" s="17"/>
      <c r="D30" s="19"/>
      <c r="E30" s="17"/>
      <c r="F30" s="19"/>
      <c r="G30" s="17"/>
      <c r="H30" s="19"/>
      <c r="I30" s="50"/>
      <c r="J30" s="32"/>
      <c r="K30" s="33"/>
    </row>
    <row r="31" spans="1:11" ht="12.75">
      <c r="A31" s="15" t="s">
        <v>13</v>
      </c>
      <c r="B31" s="16" t="s">
        <v>14</v>
      </c>
      <c r="C31" s="17">
        <v>1976</v>
      </c>
      <c r="D31" s="18">
        <v>0.273317</v>
      </c>
      <c r="E31" s="9">
        <f t="shared" si="1"/>
        <v>1348.8193949999998</v>
      </c>
      <c r="F31" s="8"/>
      <c r="G31" s="6">
        <f aca="true" t="shared" si="3" ref="G31:G43">$B$8*D31/1000</f>
        <v>1348.8193949999998</v>
      </c>
      <c r="H31" s="19"/>
      <c r="I31" s="50"/>
      <c r="J31" s="32"/>
      <c r="K31" s="33"/>
    </row>
    <row r="32" spans="1:11" ht="12.75">
      <c r="A32" s="15" t="s">
        <v>13</v>
      </c>
      <c r="B32" s="16" t="s">
        <v>14</v>
      </c>
      <c r="C32" s="17">
        <v>1976</v>
      </c>
      <c r="D32" s="18">
        <v>0.145308</v>
      </c>
      <c r="E32" s="9">
        <f t="shared" si="1"/>
        <v>717.09498</v>
      </c>
      <c r="F32" s="8"/>
      <c r="G32" s="6">
        <f t="shared" si="3"/>
        <v>717.09498</v>
      </c>
      <c r="H32" s="19"/>
      <c r="I32" s="50"/>
      <c r="J32" s="32"/>
      <c r="K32" s="33"/>
    </row>
    <row r="33" spans="1:11" ht="12.75">
      <c r="A33" s="15" t="s">
        <v>13</v>
      </c>
      <c r="B33" s="16" t="s">
        <v>14</v>
      </c>
      <c r="C33" s="17">
        <v>1978</v>
      </c>
      <c r="D33" s="18">
        <v>0.100594</v>
      </c>
      <c r="E33" s="9">
        <f t="shared" si="1"/>
        <v>496.43139</v>
      </c>
      <c r="F33" s="8"/>
      <c r="G33" s="6">
        <f t="shared" si="3"/>
        <v>496.43139</v>
      </c>
      <c r="H33" s="19"/>
      <c r="I33" s="50"/>
      <c r="J33" s="32"/>
      <c r="K33" s="33"/>
    </row>
    <row r="34" spans="1:11" ht="12.75">
      <c r="A34" s="15" t="s">
        <v>13</v>
      </c>
      <c r="B34" s="16" t="s">
        <v>14</v>
      </c>
      <c r="C34" s="17">
        <v>1979</v>
      </c>
      <c r="D34" s="18">
        <v>0.070356</v>
      </c>
      <c r="E34" s="9">
        <f t="shared" si="1"/>
        <v>347.20686</v>
      </c>
      <c r="F34" s="8"/>
      <c r="G34" s="6">
        <f t="shared" si="3"/>
        <v>347.20686</v>
      </c>
      <c r="H34" s="19"/>
      <c r="I34" s="50"/>
      <c r="J34" s="32"/>
      <c r="K34" s="33"/>
    </row>
    <row r="35" spans="1:11" ht="12.75">
      <c r="A35" s="15" t="s">
        <v>13</v>
      </c>
      <c r="B35" s="16" t="s">
        <v>14</v>
      </c>
      <c r="C35" s="17">
        <v>1980</v>
      </c>
      <c r="D35" s="18">
        <v>0.938291</v>
      </c>
      <c r="E35" s="9">
        <f t="shared" si="1"/>
        <v>4630.466085</v>
      </c>
      <c r="F35" s="8"/>
      <c r="G35" s="6">
        <f t="shared" si="3"/>
        <v>4630.466085</v>
      </c>
      <c r="H35" s="19"/>
      <c r="I35" s="50"/>
      <c r="J35" s="32"/>
      <c r="K35" s="33"/>
    </row>
    <row r="36" spans="1:11" ht="12.75">
      <c r="A36" s="15" t="s">
        <v>13</v>
      </c>
      <c r="B36" s="16" t="s">
        <v>14</v>
      </c>
      <c r="C36" s="17">
        <v>1981</v>
      </c>
      <c r="D36" s="18">
        <v>0.154297</v>
      </c>
      <c r="E36" s="9">
        <f t="shared" si="1"/>
        <v>761.455695</v>
      </c>
      <c r="F36" s="8"/>
      <c r="G36" s="6">
        <f t="shared" si="3"/>
        <v>761.455695</v>
      </c>
      <c r="H36" s="19"/>
      <c r="I36" s="50"/>
      <c r="J36" s="32"/>
      <c r="K36" s="33"/>
    </row>
    <row r="37" spans="1:11" ht="12.75">
      <c r="A37" s="15" t="s">
        <v>13</v>
      </c>
      <c r="B37" s="16" t="s">
        <v>2</v>
      </c>
      <c r="C37" s="17"/>
      <c r="D37" s="18">
        <v>1.5</v>
      </c>
      <c r="E37" s="9">
        <f t="shared" si="1"/>
        <v>7402.5</v>
      </c>
      <c r="F37" s="8"/>
      <c r="G37" s="6">
        <f t="shared" si="3"/>
        <v>7402.5</v>
      </c>
      <c r="H37" s="19"/>
      <c r="I37" s="50"/>
      <c r="J37" s="32"/>
      <c r="K37" s="33"/>
    </row>
    <row r="38" spans="1:11" ht="12.75">
      <c r="A38" s="15" t="s">
        <v>13</v>
      </c>
      <c r="B38" s="16" t="s">
        <v>15</v>
      </c>
      <c r="C38" s="17">
        <v>1976</v>
      </c>
      <c r="D38" s="18">
        <v>0.345971</v>
      </c>
      <c r="E38" s="9">
        <f t="shared" si="1"/>
        <v>1707.3668849999997</v>
      </c>
      <c r="F38" s="8"/>
      <c r="G38" s="6">
        <f t="shared" si="3"/>
        <v>1707.3668849999997</v>
      </c>
      <c r="H38" s="19"/>
      <c r="I38" s="50"/>
      <c r="J38" s="32"/>
      <c r="K38" s="33"/>
    </row>
    <row r="39" spans="1:11" ht="12.75">
      <c r="A39" s="15" t="s">
        <v>13</v>
      </c>
      <c r="B39" s="16" t="s">
        <v>15</v>
      </c>
      <c r="C39" s="17">
        <v>1976</v>
      </c>
      <c r="D39" s="18">
        <v>0.819951</v>
      </c>
      <c r="E39" s="9">
        <f t="shared" si="1"/>
        <v>4046.458185</v>
      </c>
      <c r="F39" s="8"/>
      <c r="G39" s="6">
        <f t="shared" si="3"/>
        <v>4046.458185</v>
      </c>
      <c r="H39" s="19"/>
      <c r="I39" s="50"/>
      <c r="J39" s="32"/>
      <c r="K39" s="33"/>
    </row>
    <row r="40" spans="1:11" ht="12.75">
      <c r="A40" s="15" t="s">
        <v>13</v>
      </c>
      <c r="B40" s="16" t="s">
        <v>15</v>
      </c>
      <c r="C40" s="17">
        <v>1978</v>
      </c>
      <c r="D40" s="18">
        <v>0.218532</v>
      </c>
      <c r="E40" s="9">
        <f t="shared" si="1"/>
        <v>1078.45542</v>
      </c>
      <c r="F40" s="8"/>
      <c r="G40" s="6">
        <f t="shared" si="3"/>
        <v>1078.45542</v>
      </c>
      <c r="H40" s="19"/>
      <c r="I40" s="50"/>
      <c r="J40" s="32"/>
      <c r="K40" s="33"/>
    </row>
    <row r="41" spans="1:11" ht="12.75">
      <c r="A41" s="15" t="s">
        <v>13</v>
      </c>
      <c r="B41" s="16" t="s">
        <v>15</v>
      </c>
      <c r="C41" s="17">
        <v>1980</v>
      </c>
      <c r="D41" s="18">
        <v>0.625527</v>
      </c>
      <c r="E41" s="9">
        <f t="shared" si="1"/>
        <v>3086.975745</v>
      </c>
      <c r="F41" s="8"/>
      <c r="G41" s="6">
        <f t="shared" si="3"/>
        <v>3086.975745</v>
      </c>
      <c r="I41" s="50"/>
      <c r="J41" s="32"/>
      <c r="K41" s="33"/>
    </row>
    <row r="42" spans="1:11" ht="12.75">
      <c r="A42" s="15"/>
      <c r="B42" s="34" t="s">
        <v>25</v>
      </c>
      <c r="C42" s="35"/>
      <c r="D42" s="37">
        <f>SUM(D31:D41)-D37</f>
        <v>3.692144</v>
      </c>
      <c r="E42" s="38">
        <f t="shared" si="1"/>
        <v>18220.73064</v>
      </c>
      <c r="F42" s="39"/>
      <c r="G42" s="40">
        <f t="shared" si="3"/>
        <v>18220.73064</v>
      </c>
      <c r="H42" s="19"/>
      <c r="I42" s="52">
        <f>IF(E42&lt;G42,G42*0,E42*0)</f>
        <v>0</v>
      </c>
      <c r="J42" s="41" t="s">
        <v>28</v>
      </c>
      <c r="K42" s="42">
        <f>IF(E42&gt;G42,E42*1,G42*1)</f>
        <v>18220.73064</v>
      </c>
    </row>
    <row r="43" spans="1:11" ht="12.75">
      <c r="A43" s="15"/>
      <c r="B43" s="19" t="s">
        <v>7</v>
      </c>
      <c r="C43" s="17"/>
      <c r="D43" s="20">
        <f>SUM(D31:D41)</f>
        <v>5.192144</v>
      </c>
      <c r="E43" s="10">
        <f t="shared" si="1"/>
        <v>25623.23064</v>
      </c>
      <c r="F43" s="8"/>
      <c r="G43" s="27">
        <f t="shared" si="3"/>
        <v>25623.23064</v>
      </c>
      <c r="I43" s="50"/>
      <c r="J43" s="32"/>
      <c r="K43" s="33"/>
    </row>
    <row r="44" spans="1:11" ht="12.75">
      <c r="A44" s="15"/>
      <c r="B44" s="19"/>
      <c r="C44" s="17"/>
      <c r="D44" s="19"/>
      <c r="E44" s="19"/>
      <c r="F44" s="17"/>
      <c r="G44" s="19"/>
      <c r="H44" s="17"/>
      <c r="I44" s="50"/>
      <c r="J44" s="32"/>
      <c r="K44" s="33"/>
    </row>
    <row r="45" spans="1:11" ht="12.75">
      <c r="A45" s="15" t="s">
        <v>16</v>
      </c>
      <c r="B45" s="16" t="s">
        <v>11</v>
      </c>
      <c r="C45" s="17">
        <v>1979</v>
      </c>
      <c r="D45" s="18">
        <v>0.337462</v>
      </c>
      <c r="E45" s="9">
        <f t="shared" si="1"/>
        <v>1665.37497</v>
      </c>
      <c r="F45" s="8"/>
      <c r="G45" s="6">
        <f>$B$8*D45/1000</f>
        <v>1665.37497</v>
      </c>
      <c r="H45" s="19"/>
      <c r="I45" s="50"/>
      <c r="J45" s="32"/>
      <c r="K45" s="33"/>
    </row>
    <row r="46" spans="1:11" ht="12.75">
      <c r="A46" s="15" t="s">
        <v>16</v>
      </c>
      <c r="B46" s="16" t="s">
        <v>11</v>
      </c>
      <c r="C46" s="17">
        <v>2011</v>
      </c>
      <c r="D46" s="18">
        <v>2.18</v>
      </c>
      <c r="E46" s="9">
        <f t="shared" si="1"/>
        <v>10758.3</v>
      </c>
      <c r="F46" s="8"/>
      <c r="G46" s="6">
        <f>$B$8*D46/1000</f>
        <v>10758.3</v>
      </c>
      <c r="I46" s="50"/>
      <c r="J46" s="32"/>
      <c r="K46" s="33"/>
    </row>
    <row r="47" spans="1:11" ht="12.75">
      <c r="A47" s="15"/>
      <c r="B47" s="34" t="s">
        <v>32</v>
      </c>
      <c r="C47" s="35"/>
      <c r="D47" s="36">
        <f>SUM(D45:D46)</f>
        <v>2.517462</v>
      </c>
      <c r="E47" s="43">
        <f t="shared" si="1"/>
        <v>12423.67497</v>
      </c>
      <c r="F47" s="39"/>
      <c r="G47" s="44">
        <f>$B$8*D47/1000</f>
        <v>12423.67497</v>
      </c>
      <c r="H47" s="19"/>
      <c r="I47" s="52">
        <f>IF(E47&lt;G47,G47*0.3,E47*0.3)</f>
        <v>3727.1024909999996</v>
      </c>
      <c r="J47" s="41" t="s">
        <v>28</v>
      </c>
      <c r="K47" s="42">
        <f>IF(E47&gt;G47,E47*0.7,G47*0.7)</f>
        <v>8696.572478999999</v>
      </c>
    </row>
    <row r="48" spans="1:11" ht="12.75">
      <c r="A48" s="15"/>
      <c r="B48" s="19"/>
      <c r="C48" s="17"/>
      <c r="D48" s="19"/>
      <c r="E48" s="17"/>
      <c r="F48" s="19"/>
      <c r="G48" s="19"/>
      <c r="H48" s="17"/>
      <c r="I48" s="50"/>
      <c r="J48" s="32"/>
      <c r="K48" s="33"/>
    </row>
    <row r="49" spans="1:11" ht="12.75">
      <c r="A49" s="15" t="s">
        <v>17</v>
      </c>
      <c r="B49" s="16" t="s">
        <v>18</v>
      </c>
      <c r="C49" s="17">
        <v>2012</v>
      </c>
      <c r="D49" s="18">
        <v>1.56</v>
      </c>
      <c r="E49" s="9">
        <f t="shared" si="1"/>
        <v>7698.6</v>
      </c>
      <c r="F49" s="8"/>
      <c r="G49" s="6">
        <f>$B$8*D49/1000</f>
        <v>7698.6</v>
      </c>
      <c r="H49" s="19"/>
      <c r="I49" s="50"/>
      <c r="J49" s="32"/>
      <c r="K49" s="33"/>
    </row>
    <row r="50" spans="1:11" ht="12.75">
      <c r="A50" s="15" t="s">
        <v>17</v>
      </c>
      <c r="B50" s="16" t="s">
        <v>11</v>
      </c>
      <c r="C50" s="17">
        <v>2009</v>
      </c>
      <c r="D50" s="18">
        <v>1.75</v>
      </c>
      <c r="E50" s="9">
        <f t="shared" si="1"/>
        <v>8636.25</v>
      </c>
      <c r="F50" s="8"/>
      <c r="G50" s="6">
        <f>$B$8*D50/1000</f>
        <v>8636.25</v>
      </c>
      <c r="I50" s="50"/>
      <c r="J50" s="32"/>
      <c r="K50" s="33"/>
    </row>
    <row r="51" spans="1:11" ht="13.5" thickBot="1">
      <c r="A51" s="21"/>
      <c r="B51" s="45" t="s">
        <v>31</v>
      </c>
      <c r="C51" s="46"/>
      <c r="D51" s="47">
        <f>SUM(D49:D50)</f>
        <v>3.31</v>
      </c>
      <c r="E51" s="43">
        <f t="shared" si="1"/>
        <v>16334.85</v>
      </c>
      <c r="F51" s="39"/>
      <c r="G51" s="44">
        <f>$B$8*D51/1000</f>
        <v>16334.85</v>
      </c>
      <c r="H51" s="19"/>
      <c r="I51" s="53">
        <f>IF(E51&lt;G51,G51*1,E51*1)</f>
        <v>16334.85</v>
      </c>
      <c r="J51" s="48" t="s">
        <v>28</v>
      </c>
      <c r="K51" s="49">
        <f>IF(E51&gt;G51,E51*0,G51*0)</f>
        <v>0</v>
      </c>
    </row>
    <row r="52" ht="13.5" thickTop="1"/>
    <row r="53" spans="9:11" ht="12.75">
      <c r="I53" s="22">
        <f>SUM(I17:I52)</f>
        <v>170359.738395</v>
      </c>
      <c r="K53" s="22">
        <f>SUM(K17:K52)</f>
        <v>231055.99429499998</v>
      </c>
    </row>
    <row r="56" spans="5:13" ht="12.75">
      <c r="E56" s="22">
        <f>E51+E47+E43+E29+E17</f>
        <v>408818.23269</v>
      </c>
      <c r="M56" s="78"/>
    </row>
    <row r="57" spans="5:12" ht="12.75">
      <c r="E57" s="78">
        <f>E29/E56</f>
        <v>0.6202869622801019</v>
      </c>
      <c r="K57" s="78">
        <f>K29/K53</f>
        <v>0.7682520175147053</v>
      </c>
      <c r="L57" t="s">
        <v>43</v>
      </c>
    </row>
  </sheetData>
  <sheetProtection/>
  <printOptions/>
  <pageMargins left="0.25" right="0.25" top="0.25" bottom="0.25" header="0" footer="0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</dc:creator>
  <cp:keywords/>
  <dc:description/>
  <cp:lastModifiedBy>tfm</cp:lastModifiedBy>
  <cp:lastPrinted>2013-10-14T20:29:08Z</cp:lastPrinted>
  <dcterms:created xsi:type="dcterms:W3CDTF">2013-10-13T22:55:03Z</dcterms:created>
  <dcterms:modified xsi:type="dcterms:W3CDTF">2013-10-17T02:22:51Z</dcterms:modified>
  <cp:category/>
  <cp:version/>
  <cp:contentType/>
  <cp:contentStatus/>
</cp:coreProperties>
</file>